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<sst xmlns="http://schemas.openxmlformats.org/spreadsheetml/2006/main" count="22" uniqueCount="21">
  <si>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Стоимость автомобиля</t>
  </si>
  <si>
    <t>%</t>
  </si>
  <si>
    <t xml:space="preserve">Первый взнос </t>
  </si>
  <si>
    <t>Размер кредита</t>
  </si>
  <si>
    <t>Срок кредитования (мес)</t>
  </si>
  <si>
    <t>Комиссия разовая (2,5%)</t>
  </si>
  <si>
    <t>В день выдачи кредита</t>
  </si>
  <si>
    <t>Таблица платежей</t>
  </si>
  <si>
    <t>Месяц</t>
  </si>
  <si>
    <t>Остаток тела кредита</t>
  </si>
  <si>
    <t>Платеж по телу</t>
  </si>
  <si>
    <t>Платеж по процентам</t>
  </si>
  <si>
    <t>ИТОГО</t>
  </si>
  <si>
    <t>Ежемесячный платеж</t>
  </si>
  <si>
    <t>Итого за месяц</t>
  </si>
  <si>
    <t>Процентная ставка (годовых):</t>
  </si>
  <si>
    <t>Ежемес. платеж</t>
  </si>
  <si>
    <t>от 1 до 60</t>
  </si>
  <si>
    <t>не менее 30</t>
  </si>
  <si>
    <t>Кредитный калькулятор новые авто (аннуитет)</t>
  </si>
  <si>
    <t>Ежемесячная комиссия (0%)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</si>
</sst>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6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17">
      <alignment/>
      <protection/>
    </xf>
    <xf numFmtId="3" fontId="2" fillId="2" borderId="1" xfId="17" applyNumberFormat="1" applyFont="1" applyFill="1" applyBorder="1">
      <alignment/>
      <protection/>
    </xf>
    <xf numFmtId="3" fontId="2" fillId="2" borderId="2" xfId="17" applyNumberFormat="1" applyFont="1" applyFill="1" applyBorder="1">
      <alignment/>
      <protection/>
    </xf>
    <xf numFmtId="3" fontId="2" fillId="3" borderId="3" xfId="17" applyNumberFormat="1" applyFont="1" applyFill="1" applyBorder="1" applyProtection="1">
      <alignment/>
      <protection hidden="1" locked="0"/>
    </xf>
    <xf numFmtId="0" fontId="0" fillId="4" borderId="3" xfId="17" applyFill="1" applyBorder="1" applyAlignment="1">
      <alignment horizontal="center"/>
      <protection/>
    </xf>
    <xf numFmtId="1" fontId="2" fillId="2" borderId="3" xfId="17" applyNumberFormat="1" applyFont="1" applyFill="1" applyBorder="1" applyAlignment="1">
      <alignment horizontal="center"/>
      <protection/>
    </xf>
    <xf numFmtId="0" fontId="2" fillId="2" borderId="3" xfId="17" applyFont="1" applyFill="1" applyBorder="1">
      <alignment/>
      <protection/>
    </xf>
    <xf numFmtId="3" fontId="2" fillId="2" borderId="3" xfId="17" applyNumberFormat="1" applyFont="1" applyFill="1" applyBorder="1" applyProtection="1">
      <alignment/>
      <protection hidden="1" locked="0"/>
    </xf>
    <xf numFmtId="2" fontId="2" fillId="2" borderId="3" xfId="17" applyNumberFormat="1" applyFont="1" applyFill="1" applyBorder="1" applyAlignment="1">
      <alignment horizontal="center"/>
      <protection/>
    </xf>
    <xf numFmtId="3" fontId="2" fillId="2" borderId="3" xfId="17" applyNumberFormat="1" applyFont="1" applyFill="1" applyBorder="1">
      <alignment/>
      <protection/>
    </xf>
    <xf numFmtId="0" fontId="2" fillId="3" borderId="0" xfId="17" applyFont="1" applyFill="1" applyProtection="1">
      <alignment/>
      <protection locked="0"/>
    </xf>
    <xf numFmtId="3" fontId="2" fillId="2" borderId="1" xfId="17" applyNumberFormat="1" applyFont="1" applyFill="1" applyBorder="1" applyAlignment="1">
      <alignment/>
      <protection/>
    </xf>
    <xf numFmtId="3" fontId="2" fillId="2" borderId="4" xfId="17" applyNumberFormat="1" applyFont="1" applyFill="1" applyBorder="1" applyAlignment="1">
      <alignment/>
      <protection/>
    </xf>
    <xf numFmtId="164" fontId="2" fillId="2" borderId="3" xfId="17" applyNumberFormat="1" applyFont="1" applyFill="1" applyBorder="1">
      <alignment/>
      <protection/>
    </xf>
    <xf numFmtId="0" fontId="0" fillId="0" borderId="5" xfId="17" applyBorder="1" applyAlignment="1">
      <alignment horizontal="center"/>
      <protection/>
    </xf>
    <xf numFmtId="0" fontId="2" fillId="4" borderId="3" xfId="17" applyFont="1" applyFill="1" applyBorder="1" applyAlignment="1">
      <alignment horizontal="center" vertical="center" wrapText="1"/>
      <protection/>
    </xf>
    <xf numFmtId="0" fontId="0" fillId="0" borderId="0" xfId="17" applyAlignment="1">
      <alignment wrapText="1"/>
      <protection/>
    </xf>
    <xf numFmtId="0" fontId="0" fillId="5" borderId="3" xfId="17" applyFill="1" applyBorder="1">
      <alignment/>
      <protection/>
    </xf>
    <xf numFmtId="4" fontId="0" fillId="2" borderId="3" xfId="17" applyNumberFormat="1" applyFill="1" applyBorder="1">
      <alignment/>
      <protection/>
    </xf>
    <xf numFmtId="4" fontId="0" fillId="5" borderId="3" xfId="17" applyNumberFormat="1" applyFill="1" applyBorder="1">
      <alignment/>
      <protection/>
    </xf>
    <xf numFmtId="4" fontId="2" fillId="4" borderId="3" xfId="17" applyNumberFormat="1" applyFont="1" applyFill="1" applyBorder="1">
      <alignment/>
      <protection/>
    </xf>
    <xf numFmtId="0" fontId="2" fillId="0" borderId="0" xfId="17" applyFont="1">
      <alignment/>
      <protection/>
    </xf>
    <xf numFmtId="0" fontId="2" fillId="4" borderId="3" xfId="17" applyFont="1" applyFill="1" applyBorder="1">
      <alignment/>
      <protection/>
    </xf>
    <xf numFmtId="4" fontId="2" fillId="0" borderId="3" xfId="17" applyNumberFormat="1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10" fontId="2" fillId="2" borderId="3" xfId="17" applyNumberFormat="1" applyFont="1" applyFill="1" applyBorder="1" applyAlignment="1">
      <alignment horizontal="right"/>
      <protection/>
    </xf>
    <xf numFmtId="0" fontId="1" fillId="6" borderId="0" xfId="17" applyFont="1" applyFill="1" applyAlignment="1">
      <alignment horizontal="center"/>
      <protection/>
    </xf>
    <xf numFmtId="0" fontId="2" fillId="2" borderId="1" xfId="17" applyFont="1" applyFill="1" applyBorder="1" applyAlignment="1">
      <alignment horizontal="center"/>
      <protection/>
    </xf>
    <xf numFmtId="0" fontId="2" fillId="2" borderId="2" xfId="17" applyFont="1" applyFill="1" applyBorder="1" applyAlignment="1">
      <alignment horizontal="center"/>
      <protection/>
    </xf>
    <xf numFmtId="0" fontId="1" fillId="7" borderId="0" xfId="17" applyFont="1" applyFill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20.875" style="0" customWidth="1"/>
    <col min="3" max="3" width="12.25390625" style="0" customWidth="1"/>
    <col min="4" max="5" width="13.125" style="0" customWidth="1"/>
  </cols>
  <sheetData>
    <row r="1" spans="1:6" ht="18">
      <c r="A1" s="28" t="s">
        <v>19</v>
      </c>
      <c r="B1" s="28"/>
      <c r="C1" s="28"/>
      <c r="D1" s="28"/>
      <c r="E1" s="28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0</v>
      </c>
      <c r="B3" s="3"/>
      <c r="C3" s="4">
        <v>200000</v>
      </c>
      <c r="D3" s="5" t="s">
        <v>1</v>
      </c>
      <c r="E3" s="1"/>
      <c r="F3" s="1"/>
    </row>
    <row r="4" spans="1:6" ht="12.75">
      <c r="A4" s="2" t="s">
        <v>2</v>
      </c>
      <c r="B4" s="3"/>
      <c r="C4" s="4">
        <v>100000</v>
      </c>
      <c r="D4" s="6">
        <f>C4/C3*100</f>
        <v>50</v>
      </c>
      <c r="E4" s="7" t="s">
        <v>18</v>
      </c>
      <c r="F4" s="1"/>
    </row>
    <row r="5" spans="1:6" ht="12.75">
      <c r="A5" s="2"/>
      <c r="B5" s="3"/>
      <c r="C5" s="8"/>
      <c r="D5" s="9"/>
      <c r="E5" s="7"/>
      <c r="F5" s="1"/>
    </row>
    <row r="6" spans="1:6" ht="12.75">
      <c r="A6" s="2" t="s">
        <v>3</v>
      </c>
      <c r="B6" s="3"/>
      <c r="C6" s="10">
        <f>IF(D4&gt;=30,C3-C4,"Размер взноса менее 30%")</f>
        <v>100000</v>
      </c>
      <c r="D6" s="1"/>
      <c r="E6" s="1"/>
      <c r="F6" s="1"/>
    </row>
    <row r="7" spans="1:6" ht="12.75">
      <c r="A7" s="2" t="s">
        <v>4</v>
      </c>
      <c r="B7" s="3"/>
      <c r="C7" s="11">
        <v>60</v>
      </c>
      <c r="D7" s="29" t="s">
        <v>17</v>
      </c>
      <c r="E7" s="30"/>
      <c r="F7" s="1"/>
    </row>
    <row r="8" spans="1:6" ht="12.75">
      <c r="A8" s="12" t="s">
        <v>15</v>
      </c>
      <c r="B8" s="13"/>
      <c r="C8" s="27">
        <v>0.24</v>
      </c>
      <c r="D8" s="1"/>
      <c r="E8" s="1"/>
      <c r="F8" s="1"/>
    </row>
    <row r="9" spans="1:6" ht="12.75">
      <c r="A9" s="2" t="s">
        <v>13</v>
      </c>
      <c r="B9" s="3"/>
      <c r="C9" s="14">
        <f>PMT($C$8/12,$C$7,-$C$6)</f>
        <v>2876.7965825806336</v>
      </c>
      <c r="D9" s="1"/>
      <c r="E9" s="1"/>
      <c r="F9" s="1"/>
    </row>
    <row r="10" spans="1:6" ht="12.75">
      <c r="A10" s="2" t="s">
        <v>20</v>
      </c>
      <c r="B10" s="3"/>
      <c r="C10" s="14">
        <v>0</v>
      </c>
      <c r="D10" s="1"/>
      <c r="E10" s="1"/>
      <c r="F10" s="1"/>
    </row>
    <row r="11" spans="1:6" ht="12.75">
      <c r="A11" s="2" t="s">
        <v>14</v>
      </c>
      <c r="B11" s="3"/>
      <c r="C11" s="14">
        <f>SUM(C9:C10)</f>
        <v>2876.7965825806336</v>
      </c>
      <c r="D11" s="1"/>
      <c r="E11" s="1"/>
      <c r="F11" s="1"/>
    </row>
    <row r="12" spans="1:6" ht="12.75">
      <c r="A12" s="2" t="s">
        <v>5</v>
      </c>
      <c r="B12" s="3"/>
      <c r="C12" s="10">
        <f>C6*0.025</f>
        <v>2500</v>
      </c>
      <c r="D12" s="29" t="s">
        <v>6</v>
      </c>
      <c r="E12" s="30"/>
      <c r="F12" s="1"/>
    </row>
    <row r="13" spans="1:6" ht="12.75">
      <c r="A13" s="1"/>
      <c r="B13" s="1"/>
      <c r="C13" s="1"/>
      <c r="D13" s="1"/>
      <c r="E13" s="1"/>
      <c r="F13" s="1"/>
    </row>
    <row r="14" spans="1:6" ht="18">
      <c r="A14" s="31" t="s">
        <v>7</v>
      </c>
      <c r="B14" s="31"/>
      <c r="C14" s="31"/>
      <c r="D14" s="31"/>
      <c r="E14" s="31"/>
      <c r="F14" s="31"/>
    </row>
    <row r="15" spans="1:6" ht="12.75">
      <c r="A15" s="15"/>
      <c r="B15" s="15"/>
      <c r="C15" s="15"/>
      <c r="D15" s="15"/>
      <c r="E15" s="15"/>
      <c r="F15" s="1"/>
    </row>
    <row r="16" spans="1:8" ht="38.25">
      <c r="A16" s="16" t="s">
        <v>8</v>
      </c>
      <c r="B16" s="16" t="s">
        <v>9</v>
      </c>
      <c r="C16" s="16" t="s">
        <v>16</v>
      </c>
      <c r="D16" s="16" t="s">
        <v>10</v>
      </c>
      <c r="E16" s="16" t="s">
        <v>11</v>
      </c>
      <c r="F16" s="16" t="s">
        <v>9</v>
      </c>
      <c r="G16" s="17"/>
      <c r="H16" s="1"/>
    </row>
    <row r="17" spans="1:8" ht="12.75">
      <c r="A17" s="18">
        <v>1</v>
      </c>
      <c r="B17" s="19">
        <f>$C$6</f>
        <v>100000</v>
      </c>
      <c r="C17" s="19">
        <f>C9</f>
        <v>2876.7965825806336</v>
      </c>
      <c r="D17" s="20">
        <f>C17-E17</f>
        <v>876.7965825806336</v>
      </c>
      <c r="E17" s="20">
        <f>B17*$C$8/12</f>
        <v>2000</v>
      </c>
      <c r="F17" s="19">
        <f aca="true" t="shared" si="0" ref="F17:F52">B17-D17</f>
        <v>99123.20341741937</v>
      </c>
      <c r="G17" s="1"/>
      <c r="H17" s="1"/>
    </row>
    <row r="18" spans="1:8" ht="12.75">
      <c r="A18" s="18">
        <v>2</v>
      </c>
      <c r="B18" s="19">
        <f>F17</f>
        <v>99123.20341741937</v>
      </c>
      <c r="C18" s="19">
        <f>IF(2&lt;=$C$7,$C$9,0)</f>
        <v>2876.7965825806336</v>
      </c>
      <c r="D18" s="20">
        <f aca="true" t="shared" si="1" ref="D18:D76">C18-E18</f>
        <v>894.3325142322462</v>
      </c>
      <c r="E18" s="20">
        <f aca="true" t="shared" si="2" ref="E18:E52">B18*$C$8/12</f>
        <v>1982.4640683483874</v>
      </c>
      <c r="F18" s="19">
        <f t="shared" si="0"/>
        <v>98228.87090318713</v>
      </c>
      <c r="G18" s="1"/>
      <c r="H18" s="1"/>
    </row>
    <row r="19" spans="1:8" ht="12.75">
      <c r="A19" s="18">
        <v>3</v>
      </c>
      <c r="B19" s="19">
        <f aca="true" t="shared" si="3" ref="B19:B76">F18</f>
        <v>98228.87090318713</v>
      </c>
      <c r="C19" s="19">
        <f>IF(3&lt;=$C$7,$C$9,0)</f>
        <v>2876.7965825806336</v>
      </c>
      <c r="D19" s="20">
        <f t="shared" si="1"/>
        <v>912.2191645168912</v>
      </c>
      <c r="E19" s="20">
        <f t="shared" si="2"/>
        <v>1964.5774180637425</v>
      </c>
      <c r="F19" s="19">
        <f t="shared" si="0"/>
        <v>97316.65173867023</v>
      </c>
      <c r="G19" s="1"/>
      <c r="H19" s="1"/>
    </row>
    <row r="20" spans="1:8" ht="12.75">
      <c r="A20" s="18">
        <v>4</v>
      </c>
      <c r="B20" s="19">
        <f t="shared" si="3"/>
        <v>97316.65173867023</v>
      </c>
      <c r="C20" s="19">
        <f>IF(4&lt;=$C$7,$C$9,0)</f>
        <v>2876.7965825806336</v>
      </c>
      <c r="D20" s="20">
        <f t="shared" si="1"/>
        <v>930.4635478072291</v>
      </c>
      <c r="E20" s="20">
        <f t="shared" si="2"/>
        <v>1946.3330347734045</v>
      </c>
      <c r="F20" s="19">
        <f t="shared" si="0"/>
        <v>96386.188190863</v>
      </c>
      <c r="G20" s="1"/>
      <c r="H20" s="1"/>
    </row>
    <row r="21" spans="1:8" ht="12.75">
      <c r="A21" s="18">
        <v>5</v>
      </c>
      <c r="B21" s="19">
        <f t="shared" si="3"/>
        <v>96386.188190863</v>
      </c>
      <c r="C21" s="19">
        <f>IF(5&lt;=$C$7,$C$9,0)</f>
        <v>2876.7965825806336</v>
      </c>
      <c r="D21" s="20">
        <f t="shared" si="1"/>
        <v>949.0728187633736</v>
      </c>
      <c r="E21" s="20">
        <f t="shared" si="2"/>
        <v>1927.72376381726</v>
      </c>
      <c r="F21" s="19">
        <f t="shared" si="0"/>
        <v>95437.11537209962</v>
      </c>
      <c r="G21" s="1"/>
      <c r="H21" s="1"/>
    </row>
    <row r="22" spans="1:8" ht="12.75">
      <c r="A22" s="18">
        <v>6</v>
      </c>
      <c r="B22" s="19">
        <f t="shared" si="3"/>
        <v>95437.11537209962</v>
      </c>
      <c r="C22" s="19">
        <f>IF(6&lt;=$C$7,$C$9,0)</f>
        <v>2876.7965825806336</v>
      </c>
      <c r="D22" s="20">
        <f t="shared" si="1"/>
        <v>968.0542751386413</v>
      </c>
      <c r="E22" s="20">
        <f t="shared" si="2"/>
        <v>1908.7423074419924</v>
      </c>
      <c r="F22" s="19">
        <f t="shared" si="0"/>
        <v>94469.06109696098</v>
      </c>
      <c r="G22" s="1"/>
      <c r="H22" s="1"/>
    </row>
    <row r="23" spans="1:8" ht="12.75">
      <c r="A23" s="18">
        <v>7</v>
      </c>
      <c r="B23" s="19">
        <f t="shared" si="3"/>
        <v>94469.06109696098</v>
      </c>
      <c r="C23" s="19">
        <f>IF(7&lt;=$C$7,$C$9,0)</f>
        <v>2876.7965825806336</v>
      </c>
      <c r="D23" s="20">
        <f t="shared" si="1"/>
        <v>987.415360641414</v>
      </c>
      <c r="E23" s="20">
        <f t="shared" si="2"/>
        <v>1889.3812219392196</v>
      </c>
      <c r="F23" s="19">
        <f t="shared" si="0"/>
        <v>93481.64573631957</v>
      </c>
      <c r="G23" s="1"/>
      <c r="H23" s="1"/>
    </row>
    <row r="24" spans="1:8" ht="12.75">
      <c r="A24" s="18">
        <v>8</v>
      </c>
      <c r="B24" s="19">
        <f t="shared" si="3"/>
        <v>93481.64573631957</v>
      </c>
      <c r="C24" s="19">
        <f>IF(8&lt;=$C$7,$C$9,0)</f>
        <v>2876.7965825806336</v>
      </c>
      <c r="D24" s="20">
        <f t="shared" si="1"/>
        <v>1007.1636678542422</v>
      </c>
      <c r="E24" s="20">
        <f t="shared" si="2"/>
        <v>1869.6329147263914</v>
      </c>
      <c r="F24" s="19">
        <f t="shared" si="0"/>
        <v>92474.48206846532</v>
      </c>
      <c r="G24" s="1"/>
      <c r="H24" s="1"/>
    </row>
    <row r="25" spans="1:8" ht="12.75">
      <c r="A25" s="18">
        <v>9</v>
      </c>
      <c r="B25" s="19">
        <f t="shared" si="3"/>
        <v>92474.48206846532</v>
      </c>
      <c r="C25" s="19">
        <f>IF(9&lt;=$C$7,$C$9,0)</f>
        <v>2876.7965825806336</v>
      </c>
      <c r="D25" s="20">
        <f t="shared" si="1"/>
        <v>1027.306941211327</v>
      </c>
      <c r="E25" s="20">
        <f t="shared" si="2"/>
        <v>1849.4896413693066</v>
      </c>
      <c r="F25" s="19">
        <f t="shared" si="0"/>
        <v>91447.175127254</v>
      </c>
      <c r="G25" s="1"/>
      <c r="H25" s="1"/>
    </row>
    <row r="26" spans="1:8" ht="12.75">
      <c r="A26" s="18">
        <v>10</v>
      </c>
      <c r="B26" s="19">
        <f t="shared" si="3"/>
        <v>91447.175127254</v>
      </c>
      <c r="C26" s="19">
        <f>IF(10&lt;=$C$7,$C$9,0)</f>
        <v>2876.7965825806336</v>
      </c>
      <c r="D26" s="20">
        <f t="shared" si="1"/>
        <v>1047.8530800355536</v>
      </c>
      <c r="E26" s="20">
        <f t="shared" si="2"/>
        <v>1828.94350254508</v>
      </c>
      <c r="F26" s="19">
        <f t="shared" si="0"/>
        <v>90399.32204721845</v>
      </c>
      <c r="G26" s="1"/>
      <c r="H26" s="1"/>
    </row>
    <row r="27" spans="1:8" ht="12.75">
      <c r="A27" s="18">
        <v>11</v>
      </c>
      <c r="B27" s="19">
        <f t="shared" si="3"/>
        <v>90399.32204721845</v>
      </c>
      <c r="C27" s="19">
        <f>IF(11&lt;=$C$7,$C$9,0)</f>
        <v>2876.7965825806336</v>
      </c>
      <c r="D27" s="20">
        <f t="shared" si="1"/>
        <v>1068.8101416362647</v>
      </c>
      <c r="E27" s="20">
        <f t="shared" si="2"/>
        <v>1807.986440944369</v>
      </c>
      <c r="F27" s="19">
        <f t="shared" si="0"/>
        <v>89330.51190558219</v>
      </c>
      <c r="G27" s="1"/>
      <c r="H27" s="22"/>
    </row>
    <row r="28" spans="1:8" ht="12.75">
      <c r="A28" s="18">
        <v>12</v>
      </c>
      <c r="B28" s="19">
        <f t="shared" si="3"/>
        <v>89330.51190558219</v>
      </c>
      <c r="C28" s="19">
        <f>IF(12&lt;=$C$7,$C$9,0)</f>
        <v>2876.7965825806336</v>
      </c>
      <c r="D28" s="20">
        <f t="shared" si="1"/>
        <v>1090.18634446899</v>
      </c>
      <c r="E28" s="20">
        <f t="shared" si="2"/>
        <v>1786.6102381116436</v>
      </c>
      <c r="F28" s="19">
        <f t="shared" si="0"/>
        <v>88240.32556111319</v>
      </c>
      <c r="G28" s="1"/>
      <c r="H28" s="1"/>
    </row>
    <row r="29" spans="1:8" ht="12.75">
      <c r="A29" s="18">
        <v>13</v>
      </c>
      <c r="B29" s="19">
        <f t="shared" si="3"/>
        <v>88240.32556111319</v>
      </c>
      <c r="C29" s="19">
        <f>IF(13&lt;=$C$7,$C$9,0)</f>
        <v>2876.7965825806336</v>
      </c>
      <c r="D29" s="20">
        <f t="shared" si="1"/>
        <v>1111.99007135837</v>
      </c>
      <c r="E29" s="20">
        <f t="shared" si="2"/>
        <v>1764.8065112222637</v>
      </c>
      <c r="F29" s="19">
        <f t="shared" si="0"/>
        <v>87128.33548975483</v>
      </c>
      <c r="G29" s="1"/>
      <c r="H29" s="1"/>
    </row>
    <row r="30" spans="1:8" ht="12.75">
      <c r="A30" s="18">
        <v>14</v>
      </c>
      <c r="B30" s="19">
        <f t="shared" si="3"/>
        <v>87128.33548975483</v>
      </c>
      <c r="C30" s="19">
        <f>IF(14&lt;=$C$7,$C$9,0)</f>
        <v>2876.7965825806336</v>
      </c>
      <c r="D30" s="20">
        <f t="shared" si="1"/>
        <v>1134.2298727855373</v>
      </c>
      <c r="E30" s="20">
        <f t="shared" si="2"/>
        <v>1742.5667097950964</v>
      </c>
      <c r="F30" s="19">
        <f t="shared" si="0"/>
        <v>85994.10561696929</v>
      </c>
      <c r="G30" s="1"/>
      <c r="H30" s="1"/>
    </row>
    <row r="31" spans="1:8" ht="12.75">
      <c r="A31" s="18">
        <v>15</v>
      </c>
      <c r="B31" s="19">
        <f t="shared" si="3"/>
        <v>85994.10561696929</v>
      </c>
      <c r="C31" s="19">
        <f>IF(15&lt;=$C$7,$C$9,0)</f>
        <v>2876.7965825806336</v>
      </c>
      <c r="D31" s="20">
        <f t="shared" si="1"/>
        <v>1156.914470241248</v>
      </c>
      <c r="E31" s="20">
        <f t="shared" si="2"/>
        <v>1719.8821123393857</v>
      </c>
      <c r="F31" s="19">
        <f t="shared" si="0"/>
        <v>84837.19114672804</v>
      </c>
      <c r="G31" s="1"/>
      <c r="H31" s="1"/>
    </row>
    <row r="32" spans="1:8" ht="12.75">
      <c r="A32" s="18">
        <v>16</v>
      </c>
      <c r="B32" s="19">
        <f t="shared" si="3"/>
        <v>84837.19114672804</v>
      </c>
      <c r="C32" s="19">
        <f>IF(16&lt;=$C$7,$C$9,0)</f>
        <v>2876.7965825806336</v>
      </c>
      <c r="D32" s="20">
        <f t="shared" si="1"/>
        <v>1180.052759646073</v>
      </c>
      <c r="E32" s="20">
        <f t="shared" si="2"/>
        <v>1696.7438229345607</v>
      </c>
      <c r="F32" s="19">
        <f t="shared" si="0"/>
        <v>83657.13838708197</v>
      </c>
      <c r="G32" s="1"/>
      <c r="H32" s="1"/>
    </row>
    <row r="33" spans="1:8" ht="12.75">
      <c r="A33" s="18">
        <v>17</v>
      </c>
      <c r="B33" s="19">
        <f t="shared" si="3"/>
        <v>83657.13838708197</v>
      </c>
      <c r="C33" s="19">
        <f>IF(17&lt;=$C$7,$C$9,0)</f>
        <v>2876.7965825806336</v>
      </c>
      <c r="D33" s="20">
        <f t="shared" si="1"/>
        <v>1203.6538148389943</v>
      </c>
      <c r="E33" s="20">
        <f t="shared" si="2"/>
        <v>1673.1427677416393</v>
      </c>
      <c r="F33" s="19">
        <f t="shared" si="0"/>
        <v>82453.48457224297</v>
      </c>
      <c r="G33" s="1"/>
      <c r="H33" s="1"/>
    </row>
    <row r="34" spans="1:8" ht="12.75">
      <c r="A34" s="18">
        <v>18</v>
      </c>
      <c r="B34" s="19">
        <f t="shared" si="3"/>
        <v>82453.48457224297</v>
      </c>
      <c r="C34" s="19">
        <f>IF(18&lt;=$C$7,$C$9,0)</f>
        <v>2876.7965825806336</v>
      </c>
      <c r="D34" s="20">
        <f t="shared" si="1"/>
        <v>1227.7268911357744</v>
      </c>
      <c r="E34" s="20">
        <f t="shared" si="2"/>
        <v>1649.0696914448592</v>
      </c>
      <c r="F34" s="19">
        <f t="shared" si="0"/>
        <v>81225.7576811072</v>
      </c>
      <c r="G34" s="1"/>
      <c r="H34" s="1"/>
    </row>
    <row r="35" spans="1:8" ht="12.75">
      <c r="A35" s="18">
        <v>19</v>
      </c>
      <c r="B35" s="19">
        <f t="shared" si="3"/>
        <v>81225.7576811072</v>
      </c>
      <c r="C35" s="19">
        <f>IF(19&lt;=$C$7,$C$9,0)</f>
        <v>2876.7965825806336</v>
      </c>
      <c r="D35" s="20">
        <f t="shared" si="1"/>
        <v>1252.2814289584896</v>
      </c>
      <c r="E35" s="20">
        <f t="shared" si="2"/>
        <v>1624.515153622144</v>
      </c>
      <c r="F35" s="19">
        <f t="shared" si="0"/>
        <v>79973.47625214871</v>
      </c>
      <c r="G35" s="1"/>
      <c r="H35" s="1"/>
    </row>
    <row r="36" spans="1:8" ht="12.75">
      <c r="A36" s="18">
        <v>20</v>
      </c>
      <c r="B36" s="19">
        <f t="shared" si="3"/>
        <v>79973.47625214871</v>
      </c>
      <c r="C36" s="19">
        <f>IF(20&lt;=$C$7,$C$9,0)</f>
        <v>2876.7965825806336</v>
      </c>
      <c r="D36" s="20">
        <f t="shared" si="1"/>
        <v>1277.3270575376594</v>
      </c>
      <c r="E36" s="20">
        <f t="shared" si="2"/>
        <v>1599.4695250429743</v>
      </c>
      <c r="F36" s="19">
        <f t="shared" si="0"/>
        <v>78696.14919461105</v>
      </c>
      <c r="G36" s="1"/>
      <c r="H36" s="1"/>
    </row>
    <row r="37" spans="1:8" ht="12.75">
      <c r="A37" s="18">
        <v>21</v>
      </c>
      <c r="B37" s="19">
        <f t="shared" si="3"/>
        <v>78696.14919461105</v>
      </c>
      <c r="C37" s="19">
        <f>IF(21&lt;=$C$7,$C$9,0)</f>
        <v>2876.7965825806336</v>
      </c>
      <c r="D37" s="20">
        <f t="shared" si="1"/>
        <v>1302.8735986884128</v>
      </c>
      <c r="E37" s="20">
        <f t="shared" si="2"/>
        <v>1573.9229838922208</v>
      </c>
      <c r="F37" s="19">
        <f t="shared" si="0"/>
        <v>77393.27559592263</v>
      </c>
      <c r="G37" s="1"/>
      <c r="H37" s="1"/>
    </row>
    <row r="38" spans="1:8" ht="12.75">
      <c r="A38" s="18">
        <v>22</v>
      </c>
      <c r="B38" s="19">
        <f t="shared" si="3"/>
        <v>77393.27559592263</v>
      </c>
      <c r="C38" s="19">
        <f>IF(22&lt;=$C$7,$C$9,0)</f>
        <v>2876.7965825806336</v>
      </c>
      <c r="D38" s="20">
        <f t="shared" si="1"/>
        <v>1328.9310706621811</v>
      </c>
      <c r="E38" s="20">
        <f t="shared" si="2"/>
        <v>1547.8655119184525</v>
      </c>
      <c r="F38" s="19">
        <f t="shared" si="0"/>
        <v>76064.34452526046</v>
      </c>
      <c r="G38" s="1"/>
      <c r="H38" s="1"/>
    </row>
    <row r="39" spans="1:8" ht="12.75">
      <c r="A39" s="18">
        <v>23</v>
      </c>
      <c r="B39" s="19">
        <f t="shared" si="3"/>
        <v>76064.34452526046</v>
      </c>
      <c r="C39" s="19">
        <f>IF(23&lt;=$C$7,$C$9,0)</f>
        <v>2876.7965825806336</v>
      </c>
      <c r="D39" s="20">
        <f t="shared" si="1"/>
        <v>1355.5096920754245</v>
      </c>
      <c r="E39" s="20">
        <f t="shared" si="2"/>
        <v>1521.2868905052092</v>
      </c>
      <c r="F39" s="19">
        <f t="shared" si="0"/>
        <v>74708.83483318503</v>
      </c>
      <c r="G39" s="1"/>
      <c r="H39" s="1"/>
    </row>
    <row r="40" spans="1:8" ht="12.75">
      <c r="A40" s="18">
        <v>24</v>
      </c>
      <c r="B40" s="19">
        <f t="shared" si="3"/>
        <v>74708.83483318503</v>
      </c>
      <c r="C40" s="19">
        <f>IF(24&lt;=$C$7,$C$9,0)</f>
        <v>2876.7965825806336</v>
      </c>
      <c r="D40" s="20">
        <f t="shared" si="1"/>
        <v>1382.619885916933</v>
      </c>
      <c r="E40" s="20">
        <f t="shared" si="2"/>
        <v>1494.1766966637006</v>
      </c>
      <c r="F40" s="19">
        <f t="shared" si="0"/>
        <v>73326.21494726809</v>
      </c>
      <c r="G40" s="1"/>
      <c r="H40" s="1"/>
    </row>
    <row r="41" spans="1:8" ht="12.75">
      <c r="A41" s="18">
        <v>25</v>
      </c>
      <c r="B41" s="19">
        <f t="shared" si="3"/>
        <v>73326.21494726809</v>
      </c>
      <c r="C41" s="19">
        <f>IF(25&lt;=$C$7,$C$9,0)</f>
        <v>2876.7965825806336</v>
      </c>
      <c r="D41" s="20">
        <f t="shared" si="1"/>
        <v>1410.2722836352718</v>
      </c>
      <c r="E41" s="20">
        <f t="shared" si="2"/>
        <v>1466.5242989453618</v>
      </c>
      <c r="F41" s="19">
        <f t="shared" si="0"/>
        <v>71915.94266363281</v>
      </c>
      <c r="G41" s="1"/>
      <c r="H41" s="1"/>
    </row>
    <row r="42" spans="1:8" ht="12.75">
      <c r="A42" s="18">
        <v>26</v>
      </c>
      <c r="B42" s="19">
        <f t="shared" si="3"/>
        <v>71915.94266363281</v>
      </c>
      <c r="C42" s="19">
        <f>IF(26&lt;=$C$7,$C$9,0)</f>
        <v>2876.7965825806336</v>
      </c>
      <c r="D42" s="20">
        <f t="shared" si="1"/>
        <v>1438.4777293079774</v>
      </c>
      <c r="E42" s="20">
        <f t="shared" si="2"/>
        <v>1438.3188532726563</v>
      </c>
      <c r="F42" s="19">
        <f t="shared" si="0"/>
        <v>70477.46493432483</v>
      </c>
      <c r="G42" s="1"/>
      <c r="H42" s="1"/>
    </row>
    <row r="43" spans="1:8" ht="12.75">
      <c r="A43" s="18">
        <v>27</v>
      </c>
      <c r="B43" s="19">
        <f t="shared" si="3"/>
        <v>70477.46493432483</v>
      </c>
      <c r="C43" s="19">
        <f>IF(27&lt;=$C$7,$C$9,0)</f>
        <v>2876.7965825806336</v>
      </c>
      <c r="D43" s="20">
        <f t="shared" si="1"/>
        <v>1467.2472838941371</v>
      </c>
      <c r="E43" s="20">
        <f t="shared" si="2"/>
        <v>1409.5492986864965</v>
      </c>
      <c r="F43" s="19">
        <f t="shared" si="0"/>
        <v>69010.2176504307</v>
      </c>
      <c r="G43" s="1"/>
      <c r="H43" s="1"/>
    </row>
    <row r="44" spans="1:8" ht="12.75">
      <c r="A44" s="18">
        <v>28</v>
      </c>
      <c r="B44" s="19">
        <f t="shared" si="3"/>
        <v>69010.2176504307</v>
      </c>
      <c r="C44" s="19">
        <f>IF(28&lt;=$C$7,$C$9,0)</f>
        <v>2876.7965825806336</v>
      </c>
      <c r="D44" s="20">
        <f t="shared" si="1"/>
        <v>1496.5922295720197</v>
      </c>
      <c r="E44" s="20">
        <f t="shared" si="2"/>
        <v>1380.204353008614</v>
      </c>
      <c r="F44" s="19">
        <f t="shared" si="0"/>
        <v>67513.62542085868</v>
      </c>
      <c r="G44" s="1"/>
      <c r="H44" s="1"/>
    </row>
    <row r="45" spans="1:8" ht="12.75">
      <c r="A45" s="18">
        <v>29</v>
      </c>
      <c r="B45" s="19">
        <f t="shared" si="3"/>
        <v>67513.62542085868</v>
      </c>
      <c r="C45" s="19">
        <f>IF(29&lt;=$C$7,$C$9,0)</f>
        <v>2876.7965825806336</v>
      </c>
      <c r="D45" s="20">
        <f t="shared" si="1"/>
        <v>1526.5240741634602</v>
      </c>
      <c r="E45" s="20">
        <f t="shared" si="2"/>
        <v>1350.2725084171734</v>
      </c>
      <c r="F45" s="19">
        <f t="shared" si="0"/>
        <v>65987.10134669521</v>
      </c>
      <c r="G45" s="1"/>
      <c r="H45" s="1"/>
    </row>
    <row r="46" spans="1:8" ht="12.75">
      <c r="A46" s="18">
        <v>30</v>
      </c>
      <c r="B46" s="19">
        <f t="shared" si="3"/>
        <v>65987.10134669521</v>
      </c>
      <c r="C46" s="19">
        <f>IF(30&lt;=$C$7,$C$9,0)</f>
        <v>2876.7965825806336</v>
      </c>
      <c r="D46" s="20">
        <f t="shared" si="1"/>
        <v>1557.0545556467293</v>
      </c>
      <c r="E46" s="20">
        <f t="shared" si="2"/>
        <v>1319.7420269339043</v>
      </c>
      <c r="F46" s="19">
        <f t="shared" si="0"/>
        <v>64430.04679104849</v>
      </c>
      <c r="G46" s="1"/>
      <c r="H46" s="1"/>
    </row>
    <row r="47" spans="1:8" ht="12.75">
      <c r="A47" s="18">
        <v>31</v>
      </c>
      <c r="B47" s="19">
        <f t="shared" si="3"/>
        <v>64430.04679104849</v>
      </c>
      <c r="C47" s="19">
        <f>IF(31&lt;=$C$7,$C$9,0)</f>
        <v>2876.7965825806336</v>
      </c>
      <c r="D47" s="20">
        <f t="shared" si="1"/>
        <v>1588.195646759664</v>
      </c>
      <c r="E47" s="20">
        <f t="shared" si="2"/>
        <v>1288.6009358209697</v>
      </c>
      <c r="F47" s="19">
        <f t="shared" si="0"/>
        <v>62841.85114428883</v>
      </c>
      <c r="G47" s="1"/>
      <c r="H47" s="1"/>
    </row>
    <row r="48" spans="1:8" ht="12.75">
      <c r="A48" s="18">
        <v>32</v>
      </c>
      <c r="B48" s="19">
        <f t="shared" si="3"/>
        <v>62841.85114428883</v>
      </c>
      <c r="C48" s="19">
        <f>IF(32&lt;=$C$7,$C$9,0)</f>
        <v>2876.7965825806336</v>
      </c>
      <c r="D48" s="20">
        <f t="shared" si="1"/>
        <v>1619.9595596948573</v>
      </c>
      <c r="E48" s="20">
        <f t="shared" si="2"/>
        <v>1256.8370228857764</v>
      </c>
      <c r="F48" s="19">
        <f t="shared" si="0"/>
        <v>61221.89158459397</v>
      </c>
      <c r="G48" s="1"/>
      <c r="H48" s="1"/>
    </row>
    <row r="49" spans="1:8" ht="12.75">
      <c r="A49" s="18">
        <v>33</v>
      </c>
      <c r="B49" s="19">
        <f t="shared" si="3"/>
        <v>61221.89158459397</v>
      </c>
      <c r="C49" s="19">
        <f>IF(33&lt;=$C$7,$C$9,0)</f>
        <v>2876.7965825806336</v>
      </c>
      <c r="D49" s="20">
        <f t="shared" si="1"/>
        <v>1652.3587508887542</v>
      </c>
      <c r="E49" s="20">
        <f t="shared" si="2"/>
        <v>1224.4378316918794</v>
      </c>
      <c r="F49" s="19">
        <f t="shared" si="0"/>
        <v>59569.53283370521</v>
      </c>
      <c r="G49" s="1"/>
      <c r="H49" s="1"/>
    </row>
    <row r="50" spans="1:8" ht="12.75">
      <c r="A50" s="18">
        <v>34</v>
      </c>
      <c r="B50" s="19">
        <f t="shared" si="3"/>
        <v>59569.53283370521</v>
      </c>
      <c r="C50" s="19">
        <f>IF(34&lt;=$C$7,$C$9,0)</f>
        <v>2876.7965825806336</v>
      </c>
      <c r="D50" s="20">
        <f t="shared" si="1"/>
        <v>1685.4059259065295</v>
      </c>
      <c r="E50" s="20">
        <f t="shared" si="2"/>
        <v>1191.390656674104</v>
      </c>
      <c r="F50" s="19">
        <f t="shared" si="0"/>
        <v>57884.12690779868</v>
      </c>
      <c r="G50" s="1"/>
      <c r="H50" s="1"/>
    </row>
    <row r="51" spans="1:8" ht="12.75">
      <c r="A51" s="18">
        <v>35</v>
      </c>
      <c r="B51" s="19">
        <f t="shared" si="3"/>
        <v>57884.12690779868</v>
      </c>
      <c r="C51" s="19">
        <f>IF(35&lt;=$C$7,$C$9,0)</f>
        <v>2876.7965825806336</v>
      </c>
      <c r="D51" s="20">
        <f t="shared" si="1"/>
        <v>1719.11404442466</v>
      </c>
      <c r="E51" s="20">
        <f t="shared" si="2"/>
        <v>1157.6825381559736</v>
      </c>
      <c r="F51" s="19">
        <f t="shared" si="0"/>
        <v>56165.01286337402</v>
      </c>
      <c r="G51" s="1"/>
      <c r="H51" s="1"/>
    </row>
    <row r="52" spans="1:8" ht="12.75">
      <c r="A52" s="18">
        <v>36</v>
      </c>
      <c r="B52" s="19">
        <f t="shared" si="3"/>
        <v>56165.01286337402</v>
      </c>
      <c r="C52" s="19">
        <f>IF(36&lt;=$C$7,$C$9,0)</f>
        <v>2876.7965825806336</v>
      </c>
      <c r="D52" s="20">
        <f t="shared" si="1"/>
        <v>1753.4963253131534</v>
      </c>
      <c r="E52" s="20">
        <f t="shared" si="2"/>
        <v>1123.3002572674802</v>
      </c>
      <c r="F52" s="19">
        <f t="shared" si="0"/>
        <v>54411.51653806087</v>
      </c>
      <c r="G52" s="1"/>
      <c r="H52" s="1"/>
    </row>
    <row r="53" spans="1:8" ht="12.75">
      <c r="A53" s="18">
        <v>37</v>
      </c>
      <c r="B53" s="19">
        <f t="shared" si="3"/>
        <v>54411.51653806087</v>
      </c>
      <c r="C53" s="19">
        <f>IF(37&lt;=$C$7,$C$9,0)</f>
        <v>2876.7965825806336</v>
      </c>
      <c r="D53" s="20">
        <f t="shared" si="1"/>
        <v>1788.5662518194165</v>
      </c>
      <c r="E53" s="20">
        <f aca="true" t="shared" si="4" ref="E53:E76">B53*$C$8/12</f>
        <v>1088.2303307612171</v>
      </c>
      <c r="F53" s="19">
        <f aca="true" t="shared" si="5" ref="F53:F76">B53-D53</f>
        <v>52622.95028624145</v>
      </c>
      <c r="G53" s="1"/>
      <c r="H53" s="1"/>
    </row>
    <row r="54" spans="1:6" ht="12.75">
      <c r="A54" s="18">
        <v>38</v>
      </c>
      <c r="B54" s="19">
        <f t="shared" si="3"/>
        <v>52622.95028624145</v>
      </c>
      <c r="C54" s="19">
        <f>IF(38&lt;=$C$7,$C$9,0)</f>
        <v>2876.7965825806336</v>
      </c>
      <c r="D54" s="20">
        <f t="shared" si="1"/>
        <v>1824.3375768558046</v>
      </c>
      <c r="E54" s="20">
        <f t="shared" si="4"/>
        <v>1052.459005724829</v>
      </c>
      <c r="F54" s="19">
        <f t="shared" si="5"/>
        <v>50798.61270938565</v>
      </c>
    </row>
    <row r="55" spans="1:6" ht="12.75">
      <c r="A55" s="18">
        <v>39</v>
      </c>
      <c r="B55" s="19">
        <f t="shared" si="3"/>
        <v>50798.61270938565</v>
      </c>
      <c r="C55" s="19">
        <f>IF(39&lt;=$C$7,$C$9,0)</f>
        <v>2876.7965825806336</v>
      </c>
      <c r="D55" s="20">
        <f t="shared" si="1"/>
        <v>1860.8243283929205</v>
      </c>
      <c r="E55" s="20">
        <f t="shared" si="4"/>
        <v>1015.972254187713</v>
      </c>
      <c r="F55" s="19">
        <f t="shared" si="5"/>
        <v>48937.78838099273</v>
      </c>
    </row>
    <row r="56" spans="1:6" ht="12.75">
      <c r="A56" s="18">
        <v>40</v>
      </c>
      <c r="B56" s="19">
        <f t="shared" si="3"/>
        <v>48937.78838099273</v>
      </c>
      <c r="C56" s="19">
        <f>IF(40&lt;=$C$7,$C$9,0)</f>
        <v>2876.7965825806336</v>
      </c>
      <c r="D56" s="20">
        <f t="shared" si="1"/>
        <v>1898.0408149607792</v>
      </c>
      <c r="E56" s="20">
        <f t="shared" si="4"/>
        <v>978.7557676198545</v>
      </c>
      <c r="F56" s="19">
        <f t="shared" si="5"/>
        <v>47039.74756603195</v>
      </c>
    </row>
    <row r="57" spans="1:6" ht="12.75">
      <c r="A57" s="18">
        <v>41</v>
      </c>
      <c r="B57" s="19">
        <f t="shared" si="3"/>
        <v>47039.74756603195</v>
      </c>
      <c r="C57" s="19">
        <f>IF(41&lt;=$C$7,$C$9,0)</f>
        <v>2876.7965825806336</v>
      </c>
      <c r="D57" s="20">
        <f t="shared" si="1"/>
        <v>1936.0016312599946</v>
      </c>
      <c r="E57" s="20">
        <f t="shared" si="4"/>
        <v>940.7949513206389</v>
      </c>
      <c r="F57" s="19">
        <f t="shared" si="5"/>
        <v>45103.745934771956</v>
      </c>
    </row>
    <row r="58" spans="1:6" ht="12.75">
      <c r="A58" s="18">
        <v>42</v>
      </c>
      <c r="B58" s="19">
        <f t="shared" si="3"/>
        <v>45103.745934771956</v>
      </c>
      <c r="C58" s="19">
        <f>IF(42&lt;=$C$7,$C$9,0)</f>
        <v>2876.7965825806336</v>
      </c>
      <c r="D58" s="20">
        <f t="shared" si="1"/>
        <v>1974.7216638851946</v>
      </c>
      <c r="E58" s="20">
        <f t="shared" si="4"/>
        <v>902.074918695439</v>
      </c>
      <c r="F58" s="19">
        <f t="shared" si="5"/>
        <v>43129.02427088676</v>
      </c>
    </row>
    <row r="59" spans="1:6" ht="12.75">
      <c r="A59" s="18">
        <v>43</v>
      </c>
      <c r="B59" s="19">
        <f t="shared" si="3"/>
        <v>43129.02427088676</v>
      </c>
      <c r="C59" s="19">
        <f>IF(43&lt;=$C$7,$C$9,0)</f>
        <v>2876.7965825806336</v>
      </c>
      <c r="D59" s="20">
        <f t="shared" si="1"/>
        <v>2014.2160971628987</v>
      </c>
      <c r="E59" s="20">
        <f t="shared" si="4"/>
        <v>862.5804854177351</v>
      </c>
      <c r="F59" s="19">
        <f t="shared" si="5"/>
        <v>41114.80817372386</v>
      </c>
    </row>
    <row r="60" spans="1:6" ht="12.75">
      <c r="A60" s="18">
        <v>44</v>
      </c>
      <c r="B60" s="19">
        <f t="shared" si="3"/>
        <v>41114.80817372386</v>
      </c>
      <c r="C60" s="19">
        <f>IF(44&lt;=$C$7,$C$9,0)</f>
        <v>2876.7965825806336</v>
      </c>
      <c r="D60" s="20">
        <f t="shared" si="1"/>
        <v>2054.5004191061566</v>
      </c>
      <c r="E60" s="20">
        <f t="shared" si="4"/>
        <v>822.2961634744771</v>
      </c>
      <c r="F60" s="19">
        <f t="shared" si="5"/>
        <v>39060.3077546177</v>
      </c>
    </row>
    <row r="61" spans="1:6" ht="12.75">
      <c r="A61" s="18">
        <v>45</v>
      </c>
      <c r="B61" s="19">
        <f t="shared" si="3"/>
        <v>39060.3077546177</v>
      </c>
      <c r="C61" s="19">
        <f>IF(45&lt;=$C$7,$C$9,0)</f>
        <v>2876.7965825806336</v>
      </c>
      <c r="D61" s="20">
        <f t="shared" si="1"/>
        <v>2095.5904274882796</v>
      </c>
      <c r="E61" s="20">
        <f t="shared" si="4"/>
        <v>781.206155092354</v>
      </c>
      <c r="F61" s="19">
        <f t="shared" si="5"/>
        <v>36964.71732712942</v>
      </c>
    </row>
    <row r="62" spans="1:6" ht="12.75">
      <c r="A62" s="18">
        <v>46</v>
      </c>
      <c r="B62" s="19">
        <f t="shared" si="3"/>
        <v>36964.71732712942</v>
      </c>
      <c r="C62" s="19">
        <f>IF(46&lt;=$C$7,$C$9,0)</f>
        <v>2876.7965825806336</v>
      </c>
      <c r="D62" s="20">
        <f t="shared" si="1"/>
        <v>2137.5022360380453</v>
      </c>
      <c r="E62" s="20">
        <f t="shared" si="4"/>
        <v>739.2943465425884</v>
      </c>
      <c r="F62" s="19">
        <f t="shared" si="5"/>
        <v>34827.21509109138</v>
      </c>
    </row>
    <row r="63" spans="1:6" ht="12.75">
      <c r="A63" s="18">
        <v>47</v>
      </c>
      <c r="B63" s="19">
        <f t="shared" si="3"/>
        <v>34827.21509109138</v>
      </c>
      <c r="C63" s="19">
        <f>IF(47&lt;=$C$7,$C$9,0)</f>
        <v>2876.7965825806336</v>
      </c>
      <c r="D63" s="20">
        <f t="shared" si="1"/>
        <v>2180.252280758806</v>
      </c>
      <c r="E63" s="20">
        <f t="shared" si="4"/>
        <v>696.5443018218275</v>
      </c>
      <c r="F63" s="19">
        <f t="shared" si="5"/>
        <v>32646.96281033257</v>
      </c>
    </row>
    <row r="64" spans="1:6" ht="12.75">
      <c r="A64" s="18">
        <v>48</v>
      </c>
      <c r="B64" s="19">
        <f t="shared" si="3"/>
        <v>32646.96281033257</v>
      </c>
      <c r="C64" s="19">
        <f>IF(48&lt;=$C$7,$C$9,0)</f>
        <v>2876.7965825806336</v>
      </c>
      <c r="D64" s="20">
        <f t="shared" si="1"/>
        <v>2223.8573263739822</v>
      </c>
      <c r="E64" s="20">
        <f t="shared" si="4"/>
        <v>652.9392562066514</v>
      </c>
      <c r="F64" s="19">
        <f t="shared" si="5"/>
        <v>30423.10548395859</v>
      </c>
    </row>
    <row r="65" spans="1:6" ht="12.75">
      <c r="A65" s="18">
        <v>49</v>
      </c>
      <c r="B65" s="19">
        <f t="shared" si="3"/>
        <v>30423.10548395859</v>
      </c>
      <c r="C65" s="19">
        <f>IF(49&lt;=$C$7,$C$9,0)</f>
        <v>2876.7965825806336</v>
      </c>
      <c r="D65" s="20">
        <f t="shared" si="1"/>
        <v>2268.334472901462</v>
      </c>
      <c r="E65" s="20">
        <f t="shared" si="4"/>
        <v>608.4621096791717</v>
      </c>
      <c r="F65" s="19">
        <f t="shared" si="5"/>
        <v>28154.771011057128</v>
      </c>
    </row>
    <row r="66" spans="1:6" ht="12.75">
      <c r="A66" s="18">
        <v>50</v>
      </c>
      <c r="B66" s="19">
        <f t="shared" si="3"/>
        <v>28154.771011057128</v>
      </c>
      <c r="C66" s="19">
        <f>IF(50&lt;=$C$7,$C$9,0)</f>
        <v>2876.7965825806336</v>
      </c>
      <c r="D66" s="20">
        <f t="shared" si="1"/>
        <v>2313.7011623594913</v>
      </c>
      <c r="E66" s="20">
        <f t="shared" si="4"/>
        <v>563.0954202211425</v>
      </c>
      <c r="F66" s="19">
        <f t="shared" si="5"/>
        <v>25841.069848697636</v>
      </c>
    </row>
    <row r="67" spans="1:6" ht="12.75">
      <c r="A67" s="18">
        <v>51</v>
      </c>
      <c r="B67" s="19">
        <f t="shared" si="3"/>
        <v>25841.069848697636</v>
      </c>
      <c r="C67" s="19">
        <f>IF(51&lt;=$C$7,$C$9,0)</f>
        <v>2876.7965825806336</v>
      </c>
      <c r="D67" s="20">
        <f t="shared" si="1"/>
        <v>2359.975185606681</v>
      </c>
      <c r="E67" s="20">
        <f t="shared" si="4"/>
        <v>516.8213969739527</v>
      </c>
      <c r="F67" s="19">
        <f t="shared" si="5"/>
        <v>23481.094663090957</v>
      </c>
    </row>
    <row r="68" spans="1:6" ht="12.75">
      <c r="A68" s="18">
        <v>52</v>
      </c>
      <c r="B68" s="19">
        <f t="shared" si="3"/>
        <v>23481.094663090957</v>
      </c>
      <c r="C68" s="19">
        <f>IF(52&lt;=$C$7,$C$9,0)</f>
        <v>2876.7965825806336</v>
      </c>
      <c r="D68" s="20">
        <f t="shared" si="1"/>
        <v>2407.1746893188147</v>
      </c>
      <c r="E68" s="20">
        <f t="shared" si="4"/>
        <v>469.62189326181914</v>
      </c>
      <c r="F68" s="19">
        <f t="shared" si="5"/>
        <v>21073.919973772143</v>
      </c>
    </row>
    <row r="69" spans="1:6" ht="12.75">
      <c r="A69" s="18">
        <v>53</v>
      </c>
      <c r="B69" s="19">
        <f t="shared" si="3"/>
        <v>21073.919973772143</v>
      </c>
      <c r="C69" s="19">
        <f>IF(53&lt;=$C$7,$C$9,0)</f>
        <v>2876.7965825806336</v>
      </c>
      <c r="D69" s="20">
        <f t="shared" si="1"/>
        <v>2455.3181831051907</v>
      </c>
      <c r="E69" s="20">
        <f t="shared" si="4"/>
        <v>421.4783994754428</v>
      </c>
      <c r="F69" s="19">
        <f t="shared" si="5"/>
        <v>18618.60179066695</v>
      </c>
    </row>
    <row r="70" spans="1:6" ht="12.75">
      <c r="A70" s="18">
        <v>54</v>
      </c>
      <c r="B70" s="19">
        <f t="shared" si="3"/>
        <v>18618.60179066695</v>
      </c>
      <c r="C70" s="19">
        <f>IF(54&lt;=$C$7,$C$9,0)</f>
        <v>2876.7965825806336</v>
      </c>
      <c r="D70" s="20">
        <f t="shared" si="1"/>
        <v>2504.4245467672945</v>
      </c>
      <c r="E70" s="20">
        <f t="shared" si="4"/>
        <v>372.372035813339</v>
      </c>
      <c r="F70" s="19">
        <f t="shared" si="5"/>
        <v>16114.177243899656</v>
      </c>
    </row>
    <row r="71" spans="1:6" ht="12.75">
      <c r="A71" s="18">
        <v>55</v>
      </c>
      <c r="B71" s="19">
        <f t="shared" si="3"/>
        <v>16114.177243899656</v>
      </c>
      <c r="C71" s="19">
        <f>IF(55&lt;=$C$7,$C$9,0)</f>
        <v>2876.7965825806336</v>
      </c>
      <c r="D71" s="20">
        <f t="shared" si="1"/>
        <v>2554.5130377026408</v>
      </c>
      <c r="E71" s="20">
        <f t="shared" si="4"/>
        <v>322.2835448779931</v>
      </c>
      <c r="F71" s="19">
        <f t="shared" si="5"/>
        <v>13559.664206197016</v>
      </c>
    </row>
    <row r="72" spans="1:6" ht="12.75">
      <c r="A72" s="18">
        <v>56</v>
      </c>
      <c r="B72" s="19">
        <f t="shared" si="3"/>
        <v>13559.664206197016</v>
      </c>
      <c r="C72" s="19">
        <f>IF(56&lt;=$C$7,$C$9,0)</f>
        <v>2876.7965825806336</v>
      </c>
      <c r="D72" s="20">
        <f t="shared" si="1"/>
        <v>2605.603298456693</v>
      </c>
      <c r="E72" s="20">
        <f t="shared" si="4"/>
        <v>271.1932841239403</v>
      </c>
      <c r="F72" s="19">
        <f t="shared" si="5"/>
        <v>10954.060907740322</v>
      </c>
    </row>
    <row r="73" spans="1:6" ht="12.75">
      <c r="A73" s="18">
        <v>57</v>
      </c>
      <c r="B73" s="19">
        <f t="shared" si="3"/>
        <v>10954.060907740322</v>
      </c>
      <c r="C73" s="19">
        <f>IF(57&lt;=$C$7,$C$9,0)</f>
        <v>2876.7965825806336</v>
      </c>
      <c r="D73" s="20">
        <f t="shared" si="1"/>
        <v>2657.7153644258274</v>
      </c>
      <c r="E73" s="20">
        <f t="shared" si="4"/>
        <v>219.08121815480646</v>
      </c>
      <c r="F73" s="19">
        <f t="shared" si="5"/>
        <v>8296.345543314495</v>
      </c>
    </row>
    <row r="74" spans="1:6" ht="12.75">
      <c r="A74" s="18">
        <v>58</v>
      </c>
      <c r="B74" s="19">
        <f t="shared" si="3"/>
        <v>8296.345543314495</v>
      </c>
      <c r="C74" s="19">
        <f>IF(58&lt;=$C$7,$C$9,0)</f>
        <v>2876.7965825806336</v>
      </c>
      <c r="D74" s="20">
        <f t="shared" si="1"/>
        <v>2710.869671714344</v>
      </c>
      <c r="E74" s="20">
        <f t="shared" si="4"/>
        <v>165.9269108662899</v>
      </c>
      <c r="F74" s="19">
        <f t="shared" si="5"/>
        <v>5585.475871600152</v>
      </c>
    </row>
    <row r="75" spans="1:6" ht="12.75">
      <c r="A75" s="18">
        <v>59</v>
      </c>
      <c r="B75" s="19">
        <f t="shared" si="3"/>
        <v>5585.475871600152</v>
      </c>
      <c r="C75" s="19">
        <f>IF(59&lt;=$C$7,$C$9,0)</f>
        <v>2876.7965825806336</v>
      </c>
      <c r="D75" s="20">
        <f t="shared" si="1"/>
        <v>2765.0870651486307</v>
      </c>
      <c r="E75" s="20">
        <f t="shared" si="4"/>
        <v>111.70951743200304</v>
      </c>
      <c r="F75" s="19">
        <f t="shared" si="5"/>
        <v>2820.388806451521</v>
      </c>
    </row>
    <row r="76" spans="1:6" ht="12.75">
      <c r="A76" s="18">
        <v>60</v>
      </c>
      <c r="B76" s="19">
        <f t="shared" si="3"/>
        <v>2820.388806451521</v>
      </c>
      <c r="C76" s="19">
        <f>IF(60&lt;=$C$7,$C$9,0)</f>
        <v>2876.7965825806336</v>
      </c>
      <c r="D76" s="20">
        <f t="shared" si="1"/>
        <v>2820.388806451603</v>
      </c>
      <c r="E76" s="20">
        <f t="shared" si="4"/>
        <v>56.40777612903042</v>
      </c>
      <c r="F76" s="19">
        <f t="shared" si="5"/>
        <v>-8.230927051045E-11</v>
      </c>
    </row>
    <row r="77" spans="1:6" ht="12.75">
      <c r="A77" s="23" t="s">
        <v>12</v>
      </c>
      <c r="B77" s="21"/>
      <c r="C77" s="21">
        <f>SUM(C17:C76)</f>
        <v>172607.79495483794</v>
      </c>
      <c r="D77" s="21">
        <f>SUM(D17:D76)</f>
        <v>100000.00000000007</v>
      </c>
      <c r="E77" s="21">
        <f>SUM(E17:E76)</f>
        <v>72607.79495483797</v>
      </c>
      <c r="F77" s="24"/>
    </row>
    <row r="78" spans="1:6" ht="12.75">
      <c r="A78" s="1"/>
      <c r="B78" s="1"/>
      <c r="D78" s="1"/>
      <c r="E78" s="1"/>
      <c r="F78" s="1"/>
    </row>
    <row r="79" spans="1:6" ht="15.75">
      <c r="A79" s="25"/>
      <c r="B79" s="26"/>
      <c r="D79" s="26"/>
      <c r="E79" s="1"/>
      <c r="F79" s="1"/>
    </row>
  </sheetData>
  <sheetProtection password="C623" sheet="1" objects="1" scenarios="1"/>
  <protectedRanges>
    <protectedRange password="C623" sqref="A8:E12 E78 C77 C16 D78:D79 A13:B79 C13:E15 D16:F77" name="Диапазон1_1"/>
    <protectedRange password="C623" sqref="C17:C76" name="Диапазон1_1_1"/>
  </protectedRanges>
  <mergeCells count="4">
    <mergeCell ref="A1:E1"/>
    <mergeCell ref="D7:E7"/>
    <mergeCell ref="D12:E12"/>
    <mergeCell ref="A14:F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lombard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lvn</dc:creator>
  <cp:keywords/>
  <dc:description/>
  <cp:lastModifiedBy>lvn</cp:lastModifiedBy>
  <dcterms:created xsi:type="dcterms:W3CDTF">2010-03-19T13:29:13Z</dcterms:created>
  <dcterms:modified xsi:type="dcterms:W3CDTF">2010-04-26T07:47:17Z</dcterms:modified>
  <cp:category/>
  <cp:version/>
  <cp:contentType/>
  <cp:contentStatus/>
</cp:coreProperties>
</file>